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60\06634_6A\drainage\spreadsheets\"/>
    </mc:Choice>
  </mc:AlternateContent>
  <bookViews>
    <workbookView xWindow="0" yWindow="0" windowWidth="25200" windowHeight="12570"/>
  </bookViews>
  <sheets>
    <sheet name="UG storage" sheetId="1" r:id="rId1"/>
    <sheet name="Wall" sheetId="2" r:id="rId2"/>
  </sheets>
  <definedNames>
    <definedName name="_xlnm.Print_Area" localSheetId="1">Wall!$A$5:$D$27</definedName>
    <definedName name="_xlnm.Print_Titles" localSheetId="0">'UG storage'!$1:$4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2" i="1" l="1"/>
  <c r="B51" i="1"/>
  <c r="B20" i="1"/>
  <c r="B19" i="1"/>
  <c r="B64" i="1" l="1"/>
  <c r="B50" i="1"/>
  <c r="B54" i="1" s="1"/>
  <c r="B32" i="1"/>
  <c r="B55" i="1" l="1"/>
  <c r="B57" i="1" s="1"/>
  <c r="B59" i="1" s="1"/>
  <c r="B61" i="1" s="1"/>
  <c r="B18" i="1"/>
  <c r="B22" i="1" l="1"/>
  <c r="I11" i="2"/>
  <c r="I12" i="2"/>
  <c r="I13" i="2"/>
  <c r="I22" i="2" s="1"/>
  <c r="I14" i="2"/>
  <c r="I15" i="2"/>
  <c r="I16" i="2"/>
  <c r="I17" i="2"/>
  <c r="I18" i="2"/>
  <c r="I19" i="2"/>
  <c r="I20" i="2"/>
  <c r="I21" i="2"/>
  <c r="C11" i="2"/>
  <c r="C12" i="2"/>
  <c r="C13" i="2"/>
  <c r="C14" i="2"/>
  <c r="C15" i="2"/>
  <c r="C16" i="2"/>
  <c r="C17" i="2"/>
  <c r="C18" i="2"/>
  <c r="C19" i="2"/>
  <c r="C20" i="2"/>
  <c r="C21" i="2"/>
  <c r="I24" i="2"/>
  <c r="J22" i="2"/>
  <c r="I10" i="2"/>
  <c r="C10" i="2"/>
  <c r="B23" i="1" l="1"/>
  <c r="B25" i="1" s="1"/>
  <c r="B27" i="1" s="1"/>
  <c r="B29" i="1" s="1"/>
  <c r="I23" i="2"/>
  <c r="I25" i="2" s="1"/>
  <c r="I26" i="2" s="1"/>
  <c r="C22" i="2"/>
  <c r="C26" i="2" s="1"/>
  <c r="B41" i="1"/>
  <c r="B43" i="1" s="1"/>
  <c r="B45" i="1" s="1"/>
  <c r="B9" i="1"/>
  <c r="B11" i="1" s="1"/>
  <c r="B13" i="1" l="1"/>
</calcChain>
</file>

<file path=xl/sharedStrings.xml><?xml version="1.0" encoding="utf-8"?>
<sst xmlns="http://schemas.openxmlformats.org/spreadsheetml/2006/main" count="96" uniqueCount="44">
  <si>
    <t>sf</t>
  </si>
  <si>
    <t>Depth =</t>
  </si>
  <si>
    <t>ft</t>
  </si>
  <si>
    <t>Volume =</t>
  </si>
  <si>
    <t>cu ft</t>
  </si>
  <si>
    <t>=</t>
  </si>
  <si>
    <t>Exsiting Condition</t>
  </si>
  <si>
    <t xml:space="preserve">Surface Area = </t>
  </si>
  <si>
    <t>RETAINING WALL</t>
  </si>
  <si>
    <t>Area =</t>
  </si>
  <si>
    <t>Unit Cost =</t>
  </si>
  <si>
    <t>per sf</t>
  </si>
  <si>
    <t>Wall Cost =</t>
  </si>
  <si>
    <t>Wall Height (ft)</t>
  </si>
  <si>
    <t>Wall Area (sf)</t>
  </si>
  <si>
    <t>Connect gap between proposed walls W-3 and W-4 to avoid filling existing ponds</t>
  </si>
  <si>
    <t>Ramp C3 Station</t>
  </si>
  <si>
    <t>avg. height</t>
  </si>
  <si>
    <t>@</t>
  </si>
  <si>
    <t>per cu ft</t>
  </si>
  <si>
    <t>Water Quality Volume</t>
  </si>
  <si>
    <t>I-70/70 Phase 6A</t>
  </si>
  <si>
    <t>Existing Detention Ponds on West side of I-71 SB</t>
  </si>
  <si>
    <t>+</t>
  </si>
  <si>
    <t>for pre-treatment</t>
  </si>
  <si>
    <t>Retaining Wall Option</t>
  </si>
  <si>
    <t>Underground Detention Option</t>
  </si>
  <si>
    <t>Volunteers of America of Greater Ohio</t>
  </si>
  <si>
    <t>Harmon Real Estate, LLC</t>
  </si>
  <si>
    <t>Exsiting Pond Volume</t>
  </si>
  <si>
    <t>Drainage Area =</t>
  </si>
  <si>
    <t>acres</t>
  </si>
  <si>
    <t>Impervious Area =</t>
  </si>
  <si>
    <t>i =</t>
  </si>
  <si>
    <t>Cq =</t>
  </si>
  <si>
    <t>WQv =</t>
  </si>
  <si>
    <t>ac ft</t>
  </si>
  <si>
    <t>Cost of UG Strorage =</t>
  </si>
  <si>
    <t>Prop. LA R/W Area =</t>
  </si>
  <si>
    <t>sq ft</t>
  </si>
  <si>
    <t>Installation Footprint =</t>
  </si>
  <si>
    <t>50 ft x 150 ft</t>
  </si>
  <si>
    <t>50 ft x 120 ft</t>
  </si>
  <si>
    <t>Site plan shows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</si>
</sst>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\+00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5" fontId="0" fillId="0" borderId="0" xfId="1" applyNumberFormat="1" applyFont="1" applyAlignment="1">
      <alignment horizontal="center"/>
    </xf>
    <xf numFmtId="0" fontId="4" fillId="0" borderId="1" xfId="0" applyFont="1" applyBorder="1" applyAlignment="1">
      <alignment horizontal="right"/>
    </xf>
    <xf numFmtId="16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165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NumberFormat="1"/>
    <xf numFmtId="5" fontId="0" fillId="0" borderId="0" xfId="0" applyNumberFormat="1"/>
    <xf numFmtId="2" fontId="0" fillId="0" borderId="0" xfId="0" applyNumberFormat="1"/>
    <xf numFmtId="0" fontId="0" fillId="0" borderId="4" xfId="0" applyBorder="1"/>
    <xf numFmtId="1" fontId="0" fillId="0" borderId="0" xfId="0" applyNumberFormat="1"/>
    <xf numFmtId="44" fontId="0" fillId="0" borderId="0" xfId="1" applyFont="1"/>
    <xf numFmtId="42" fontId="0" fillId="0" borderId="0" xfId="0" applyNumberFormat="1"/>
    <xf numFmtId="0" fontId="0" fillId="0" borderId="4" xfId="0" quotePrefix="1" applyBorder="1" applyAlignment="1">
      <alignment horizontal="right"/>
    </xf>
    <xf numFmtId="44" fontId="0" fillId="0" borderId="4" xfId="1" applyFont="1" applyBorder="1"/>
    <xf numFmtId="2" fontId="0" fillId="0" borderId="0" xfId="0" applyNumberFormat="1" applyAlignment="1">
      <alignment horizontal="center" vertical="center"/>
    </xf>
    <xf numFmtId="0" fontId="0" fillId="0" borderId="0" xfId="0" quotePrefix="1" applyBorder="1" applyAlignment="1">
      <alignment horizontal="right"/>
    </xf>
    <xf numFmtId="0" fontId="0" fillId="0" borderId="0" xfId="0" applyBorder="1"/>
    <xf numFmtId="0" fontId="4" fillId="0" borderId="0" xfId="0" applyFont="1"/>
    <xf numFmtId="164" fontId="0" fillId="0" borderId="4" xfId="1" applyNumberFormat="1" applyFont="1" applyBorder="1"/>
    <xf numFmtId="0" fontId="0" fillId="0" borderId="4" xfId="0" applyFill="1" applyBorder="1"/>
    <xf numFmtId="166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4" fillId="0" borderId="0" xfId="0" quotePrefix="1" applyFont="1" applyAlignment="1">
      <alignment horizontal="right"/>
    </xf>
    <xf numFmtId="164" fontId="6" fillId="0" borderId="0" xfId="1" applyNumberFormat="1" applyFont="1" applyFill="1" applyBorder="1" applyAlignment="1">
      <alignment horizontal="center" vertical="center"/>
    </xf>
    <xf numFmtId="1" fontId="0" fillId="0" borderId="4" xfId="0" applyNumberFormat="1" applyBorder="1" applyAlignment="1">
      <alignment horizontal="center"/>
    </xf>
    <xf numFmtId="0" fontId="4" fillId="0" borderId="4" xfId="0" applyFont="1" applyBorder="1"/>
    <xf numFmtId="1" fontId="0" fillId="0" borderId="0" xfId="0" applyNumberFormat="1" applyBorder="1" applyAlignment="1">
      <alignment horizontal="center"/>
    </xf>
    <xf numFmtId="9" fontId="0" fillId="0" borderId="5" xfId="2" applyFont="1" applyBorder="1" applyAlignment="1">
      <alignment horizontal="center" vertical="center"/>
    </xf>
    <xf numFmtId="0" fontId="0" fillId="0" borderId="5" xfId="0" applyBorder="1"/>
    <xf numFmtId="44" fontId="0" fillId="0" borderId="5" xfId="1" applyFont="1" applyBorder="1"/>
    <xf numFmtId="164" fontId="0" fillId="0" borderId="5" xfId="1" applyNumberFormat="1" applyFont="1" applyBorder="1"/>
    <xf numFmtId="0" fontId="0" fillId="0" borderId="5" xfId="0" applyFill="1" applyBorder="1"/>
    <xf numFmtId="166" fontId="0" fillId="0" borderId="0" xfId="0" applyNumberFormat="1" applyBorder="1" applyAlignment="1">
      <alignment horizontal="right" vertical="center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15" zoomScaleNormal="100" zoomScaleSheetLayoutView="100" workbookViewId="0">
      <selection activeCell="B52" sqref="B52"/>
    </sheetView>
  </sheetViews>
  <sheetFormatPr defaultRowHeight="15" x14ac:dyDescent="0.25"/>
  <cols>
    <col min="1" max="1" width="22.7109375" customWidth="1"/>
    <col min="2" max="2" width="12.7109375" customWidth="1"/>
    <col min="3" max="3" width="18.7109375" customWidth="1"/>
    <col min="4" max="6" width="10.7109375" customWidth="1"/>
    <col min="7" max="7" width="16.85546875" bestFit="1" customWidth="1"/>
  </cols>
  <sheetData>
    <row r="1" spans="1:8" x14ac:dyDescent="0.25">
      <c r="A1" s="26" t="s">
        <v>21</v>
      </c>
    </row>
    <row r="2" spans="1:8" x14ac:dyDescent="0.25">
      <c r="A2" s="26" t="s">
        <v>22</v>
      </c>
    </row>
    <row r="3" spans="1:8" x14ac:dyDescent="0.25">
      <c r="A3" s="36" t="s">
        <v>26</v>
      </c>
      <c r="B3" s="17"/>
      <c r="C3" s="17"/>
      <c r="D3" s="17"/>
      <c r="E3" s="17"/>
    </row>
    <row r="5" spans="1:8" x14ac:dyDescent="0.25">
      <c r="A5" s="7" t="s">
        <v>28</v>
      </c>
      <c r="G5" s="5"/>
      <c r="H5" s="4"/>
    </row>
    <row r="6" spans="1:8" hidden="1" x14ac:dyDescent="0.25">
      <c r="A6" s="5" t="s">
        <v>29</v>
      </c>
      <c r="G6" s="2"/>
      <c r="H6" s="6"/>
    </row>
    <row r="7" spans="1:8" hidden="1" x14ac:dyDescent="0.25">
      <c r="A7" s="1" t="s">
        <v>7</v>
      </c>
      <c r="B7" s="3">
        <v>7329</v>
      </c>
      <c r="C7" t="s">
        <v>0</v>
      </c>
      <c r="G7" s="1"/>
      <c r="H7" s="6"/>
    </row>
    <row r="8" spans="1:8" hidden="1" x14ac:dyDescent="0.25">
      <c r="A8" s="1" t="s">
        <v>1</v>
      </c>
      <c r="B8" s="3">
        <v>2</v>
      </c>
      <c r="C8" t="s">
        <v>2</v>
      </c>
    </row>
    <row r="9" spans="1:8" hidden="1" x14ac:dyDescent="0.25">
      <c r="A9" s="1" t="s">
        <v>3</v>
      </c>
      <c r="B9" s="3">
        <f>B7*B8</f>
        <v>14658</v>
      </c>
      <c r="C9" t="s">
        <v>4</v>
      </c>
    </row>
    <row r="10" spans="1:8" hidden="1" x14ac:dyDescent="0.25">
      <c r="A10" s="21" t="s">
        <v>18</v>
      </c>
      <c r="B10" s="22">
        <v>3</v>
      </c>
      <c r="C10" s="17" t="s">
        <v>19</v>
      </c>
    </row>
    <row r="11" spans="1:8" hidden="1" x14ac:dyDescent="0.25">
      <c r="A11" s="2"/>
      <c r="B11" s="20">
        <f>ROUNDUP(B9*B10,-2)</f>
        <v>44000</v>
      </c>
    </row>
    <row r="12" spans="1:8" hidden="1" x14ac:dyDescent="0.25">
      <c r="A12" s="21" t="s">
        <v>23</v>
      </c>
      <c r="B12" s="27">
        <v>25000</v>
      </c>
      <c r="C12" s="28" t="s">
        <v>24</v>
      </c>
    </row>
    <row r="13" spans="1:8" hidden="1" x14ac:dyDescent="0.25">
      <c r="A13" s="2"/>
      <c r="B13" s="32">
        <f>ROUNDUP(B11+B12,-2)</f>
        <v>69000</v>
      </c>
    </row>
    <row r="14" spans="1:8" hidden="1" x14ac:dyDescent="0.25">
      <c r="A14" s="2"/>
      <c r="B14" s="20"/>
    </row>
    <row r="15" spans="1:8" x14ac:dyDescent="0.25">
      <c r="A15" s="5" t="s">
        <v>20</v>
      </c>
      <c r="B15" s="20"/>
    </row>
    <row r="16" spans="1:8" x14ac:dyDescent="0.25">
      <c r="A16" s="2" t="s">
        <v>30</v>
      </c>
      <c r="B16" s="29">
        <v>2.67</v>
      </c>
      <c r="C16" t="s">
        <v>31</v>
      </c>
    </row>
    <row r="17" spans="1:5" x14ac:dyDescent="0.25">
      <c r="A17" s="2" t="s">
        <v>32</v>
      </c>
      <c r="B17" s="29">
        <v>2.67</v>
      </c>
      <c r="C17" t="s">
        <v>31</v>
      </c>
    </row>
    <row r="18" spans="1:5" x14ac:dyDescent="0.25">
      <c r="A18" s="2" t="s">
        <v>33</v>
      </c>
      <c r="B18" s="30">
        <f>IF($B16="","",B17/B16)</f>
        <v>1</v>
      </c>
    </row>
    <row r="19" spans="1:5" x14ac:dyDescent="0.25">
      <c r="A19" s="2" t="s">
        <v>34</v>
      </c>
      <c r="B19" s="30">
        <f>IF(B16="","",(0.858*B18^3)-(0.78*B18^2)+(0.774*B18)+0.04)</f>
        <v>0.89200000000000002</v>
      </c>
    </row>
    <row r="20" spans="1:5" x14ac:dyDescent="0.25">
      <c r="A20" s="2" t="s">
        <v>35</v>
      </c>
      <c r="B20" s="30">
        <f>B19*0.75*(B16/12)</f>
        <v>0.1488525</v>
      </c>
      <c r="C20" t="s">
        <v>36</v>
      </c>
    </row>
    <row r="21" spans="1:5" ht="15.75" thickBot="1" x14ac:dyDescent="0.3">
      <c r="A21" s="43" t="s">
        <v>23</v>
      </c>
      <c r="B21" s="38">
        <v>0.2</v>
      </c>
      <c r="C21" s="39"/>
    </row>
    <row r="22" spans="1:5" ht="15.75" thickTop="1" x14ac:dyDescent="0.25">
      <c r="A22" s="2" t="s">
        <v>5</v>
      </c>
      <c r="B22" s="23">
        <f>B20*(B21+1)</f>
        <v>0.178623</v>
      </c>
      <c r="C22" t="s">
        <v>36</v>
      </c>
      <c r="D22" t="s">
        <v>43</v>
      </c>
    </row>
    <row r="23" spans="1:5" x14ac:dyDescent="0.25">
      <c r="A23" s="2" t="s">
        <v>5</v>
      </c>
      <c r="B23" s="31">
        <f>B22*43560</f>
        <v>7780.8178800000005</v>
      </c>
      <c r="C23" t="s">
        <v>4</v>
      </c>
      <c r="D23" s="3">
        <v>13634</v>
      </c>
      <c r="E23" t="s">
        <v>4</v>
      </c>
    </row>
    <row r="24" spans="1:5" ht="15.75" thickBot="1" x14ac:dyDescent="0.3">
      <c r="A24" s="24" t="s">
        <v>18</v>
      </c>
      <c r="B24" s="40">
        <v>3</v>
      </c>
      <c r="C24" s="39" t="s">
        <v>19</v>
      </c>
    </row>
    <row r="25" spans="1:5" ht="15.75" thickTop="1" x14ac:dyDescent="0.25">
      <c r="A25" s="2"/>
      <c r="B25" s="32">
        <f>MAX(B23,D23)*B24</f>
        <v>40902</v>
      </c>
    </row>
    <row r="26" spans="1:5" ht="15.75" thickBot="1" x14ac:dyDescent="0.3">
      <c r="A26" s="24" t="s">
        <v>23</v>
      </c>
      <c r="B26" s="41">
        <v>25000</v>
      </c>
      <c r="C26" s="42" t="s">
        <v>24</v>
      </c>
    </row>
    <row r="27" spans="1:5" ht="15.75" thickTop="1" x14ac:dyDescent="0.25">
      <c r="A27" s="2"/>
      <c r="B27" s="32">
        <f>ROUNDUP(B25+B26,2)</f>
        <v>65902</v>
      </c>
    </row>
    <row r="28" spans="1:5" x14ac:dyDescent="0.25">
      <c r="A28" s="2"/>
      <c r="B28" s="30"/>
    </row>
    <row r="29" spans="1:5" x14ac:dyDescent="0.25">
      <c r="A29" s="33" t="s">
        <v>37</v>
      </c>
      <c r="B29" s="34">
        <f>ROUNDUP(B27,-3)</f>
        <v>66000</v>
      </c>
    </row>
    <row r="30" spans="1:5" x14ac:dyDescent="0.25">
      <c r="A30" s="2"/>
      <c r="B30" s="30"/>
    </row>
    <row r="31" spans="1:5" x14ac:dyDescent="0.25">
      <c r="A31" s="2" t="s">
        <v>38</v>
      </c>
      <c r="B31" s="30">
        <v>17733</v>
      </c>
      <c r="C31" t="s">
        <v>39</v>
      </c>
    </row>
    <row r="32" spans="1:5" x14ac:dyDescent="0.25">
      <c r="A32" s="2" t="s">
        <v>5</v>
      </c>
      <c r="B32" s="30">
        <f>B31/43560</f>
        <v>0.4070936639118457</v>
      </c>
      <c r="C32" t="s">
        <v>31</v>
      </c>
    </row>
    <row r="33" spans="1:8" x14ac:dyDescent="0.25">
      <c r="A33" s="2"/>
      <c r="B33" s="30"/>
    </row>
    <row r="34" spans="1:8" x14ac:dyDescent="0.25">
      <c r="A34" s="2" t="s">
        <v>40</v>
      </c>
      <c r="B34" s="20" t="s">
        <v>41</v>
      </c>
    </row>
    <row r="35" spans="1:8" x14ac:dyDescent="0.25">
      <c r="A35" s="21"/>
      <c r="B35" s="35"/>
      <c r="C35" s="17"/>
      <c r="D35" s="17"/>
      <c r="E35" s="17"/>
      <c r="F35" s="25"/>
    </row>
    <row r="36" spans="1:8" x14ac:dyDescent="0.25">
      <c r="A36" s="24"/>
      <c r="B36" s="37"/>
      <c r="C36" s="25"/>
      <c r="D36" s="25"/>
      <c r="E36" s="25"/>
      <c r="F36" s="25"/>
    </row>
    <row r="37" spans="1:8" x14ac:dyDescent="0.25">
      <c r="A37" s="7" t="s">
        <v>27</v>
      </c>
    </row>
    <row r="38" spans="1:8" hidden="1" x14ac:dyDescent="0.25">
      <c r="A38" s="5" t="s">
        <v>6</v>
      </c>
      <c r="G38" s="5"/>
      <c r="H38" s="4"/>
    </row>
    <row r="39" spans="1:8" hidden="1" x14ac:dyDescent="0.25">
      <c r="A39" s="1" t="s">
        <v>7</v>
      </c>
      <c r="B39" s="3">
        <v>5694</v>
      </c>
      <c r="C39" t="s">
        <v>0</v>
      </c>
      <c r="G39" s="2"/>
      <c r="H39" s="6"/>
    </row>
    <row r="40" spans="1:8" hidden="1" x14ac:dyDescent="0.25">
      <c r="A40" s="1" t="s">
        <v>1</v>
      </c>
      <c r="B40" s="3">
        <v>2</v>
      </c>
      <c r="C40" t="s">
        <v>2</v>
      </c>
      <c r="G40" s="1"/>
      <c r="H40" s="6"/>
    </row>
    <row r="41" spans="1:8" hidden="1" x14ac:dyDescent="0.25">
      <c r="A41" s="1" t="s">
        <v>3</v>
      </c>
      <c r="B41" s="3">
        <f>B39*B40</f>
        <v>11388</v>
      </c>
      <c r="C41" t="s">
        <v>4</v>
      </c>
    </row>
    <row r="42" spans="1:8" hidden="1" x14ac:dyDescent="0.25">
      <c r="A42" s="21" t="s">
        <v>18</v>
      </c>
      <c r="B42" s="22">
        <v>3</v>
      </c>
      <c r="C42" s="17" t="s">
        <v>19</v>
      </c>
      <c r="E42" s="19"/>
    </row>
    <row r="43" spans="1:8" hidden="1" x14ac:dyDescent="0.25">
      <c r="A43" s="2"/>
      <c r="B43" s="20">
        <f>ROUNDUP(B41*B42,-2)</f>
        <v>34200</v>
      </c>
    </row>
    <row r="44" spans="1:8" hidden="1" x14ac:dyDescent="0.25">
      <c r="A44" s="21" t="s">
        <v>23</v>
      </c>
      <c r="B44" s="27">
        <v>25000</v>
      </c>
      <c r="C44" s="28" t="s">
        <v>24</v>
      </c>
    </row>
    <row r="45" spans="1:8" hidden="1" x14ac:dyDescent="0.25">
      <c r="A45" s="2"/>
      <c r="B45" s="32">
        <f>ROUNDUP(B43+B44,-2)</f>
        <v>59200</v>
      </c>
    </row>
    <row r="46" spans="1:8" hidden="1" x14ac:dyDescent="0.25">
      <c r="A46" s="2"/>
      <c r="B46" s="20"/>
    </row>
    <row r="47" spans="1:8" x14ac:dyDescent="0.25">
      <c r="A47" s="5" t="s">
        <v>20</v>
      </c>
      <c r="B47" s="20"/>
    </row>
    <row r="48" spans="1:8" x14ac:dyDescent="0.25">
      <c r="A48" s="2" t="s">
        <v>30</v>
      </c>
      <c r="B48" s="29">
        <v>2.87</v>
      </c>
      <c r="C48" t="s">
        <v>31</v>
      </c>
    </row>
    <row r="49" spans="1:5" x14ac:dyDescent="0.25">
      <c r="A49" s="2" t="s">
        <v>32</v>
      </c>
      <c r="B49" s="29">
        <v>2.87</v>
      </c>
      <c r="C49" t="s">
        <v>31</v>
      </c>
    </row>
    <row r="50" spans="1:5" x14ac:dyDescent="0.25">
      <c r="A50" s="2" t="s">
        <v>33</v>
      </c>
      <c r="B50" s="30">
        <f>IF($B48="","",B49/B48)</f>
        <v>1</v>
      </c>
    </row>
    <row r="51" spans="1:5" x14ac:dyDescent="0.25">
      <c r="A51" s="2" t="s">
        <v>34</v>
      </c>
      <c r="B51" s="30">
        <f>IF(B48="","",(0.858*B50^3)-(0.78*B50^2)+(0.774*B50)+0.04)</f>
        <v>0.89200000000000002</v>
      </c>
    </row>
    <row r="52" spans="1:5" x14ac:dyDescent="0.25">
      <c r="A52" s="2" t="s">
        <v>35</v>
      </c>
      <c r="B52" s="30">
        <f>B51*0.75*(B48/12)</f>
        <v>0.16000250000000002</v>
      </c>
      <c r="C52" t="s">
        <v>36</v>
      </c>
    </row>
    <row r="53" spans="1:5" ht="15.75" thickBot="1" x14ac:dyDescent="0.3">
      <c r="A53" s="43" t="s">
        <v>23</v>
      </c>
      <c r="B53" s="38">
        <v>0.2</v>
      </c>
      <c r="C53" s="39"/>
    </row>
    <row r="54" spans="1:5" ht="15.75" thickTop="1" x14ac:dyDescent="0.25">
      <c r="A54" s="2" t="s">
        <v>5</v>
      </c>
      <c r="B54" s="23">
        <f>B52*(B53+1)</f>
        <v>0.19200300000000001</v>
      </c>
      <c r="C54" t="s">
        <v>36</v>
      </c>
      <c r="D54" t="s">
        <v>43</v>
      </c>
    </row>
    <row r="55" spans="1:5" x14ac:dyDescent="0.25">
      <c r="A55" s="2" t="s">
        <v>5</v>
      </c>
      <c r="B55" s="31">
        <f>B54*43560</f>
        <v>8363.6506800000006</v>
      </c>
      <c r="C55" t="s">
        <v>4</v>
      </c>
      <c r="D55" s="3">
        <v>11718</v>
      </c>
      <c r="E55" t="s">
        <v>4</v>
      </c>
    </row>
    <row r="56" spans="1:5" ht="15.75" thickBot="1" x14ac:dyDescent="0.3">
      <c r="A56" s="24" t="s">
        <v>18</v>
      </c>
      <c r="B56" s="40">
        <v>3</v>
      </c>
      <c r="C56" s="39" t="s">
        <v>19</v>
      </c>
    </row>
    <row r="57" spans="1:5" ht="15.75" thickTop="1" x14ac:dyDescent="0.25">
      <c r="A57" s="2"/>
      <c r="B57" s="32">
        <f>MAX(B55,D55)*B56</f>
        <v>35154</v>
      </c>
    </row>
    <row r="58" spans="1:5" ht="15.75" thickBot="1" x14ac:dyDescent="0.3">
      <c r="A58" s="24" t="s">
        <v>23</v>
      </c>
      <c r="B58" s="41">
        <v>25000</v>
      </c>
      <c r="C58" s="42" t="s">
        <v>24</v>
      </c>
    </row>
    <row r="59" spans="1:5" ht="15.75" thickTop="1" x14ac:dyDescent="0.25">
      <c r="A59" s="2"/>
      <c r="B59" s="32">
        <f>ROUNDUP(B57+B58,2)</f>
        <v>60154</v>
      </c>
    </row>
    <row r="60" spans="1:5" x14ac:dyDescent="0.25">
      <c r="A60" s="2"/>
      <c r="B60" s="30"/>
    </row>
    <row r="61" spans="1:5" x14ac:dyDescent="0.25">
      <c r="A61" s="33" t="s">
        <v>37</v>
      </c>
      <c r="B61" s="34">
        <f>ROUNDUP(B59,-3)</f>
        <v>61000</v>
      </c>
    </row>
    <row r="62" spans="1:5" x14ac:dyDescent="0.25">
      <c r="A62" s="2"/>
      <c r="B62" s="30"/>
    </row>
    <row r="63" spans="1:5" x14ac:dyDescent="0.25">
      <c r="A63" s="2" t="s">
        <v>38</v>
      </c>
      <c r="B63" s="30">
        <v>13728</v>
      </c>
      <c r="C63" t="s">
        <v>39</v>
      </c>
    </row>
    <row r="64" spans="1:5" x14ac:dyDescent="0.25">
      <c r="A64" s="2" t="s">
        <v>5</v>
      </c>
      <c r="B64" s="30">
        <f>B63/43560</f>
        <v>0.31515151515151513</v>
      </c>
      <c r="C64" t="s">
        <v>31</v>
      </c>
    </row>
    <row r="65" spans="1:2" x14ac:dyDescent="0.25">
      <c r="A65" s="2"/>
      <c r="B65" s="20"/>
    </row>
    <row r="66" spans="1:2" x14ac:dyDescent="0.25">
      <c r="A66" s="2" t="s">
        <v>40</v>
      </c>
      <c r="B66" s="20" t="s">
        <v>42</v>
      </c>
    </row>
    <row r="67" spans="1:2" x14ac:dyDescent="0.25">
      <c r="A67" s="2"/>
      <c r="B67" s="20"/>
    </row>
  </sheetData>
  <printOptions horizontalCentered="1"/>
  <pageMargins left="0.7" right="0.7" top="0.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E5" sqref="E5"/>
    </sheetView>
  </sheetViews>
  <sheetFormatPr defaultRowHeight="15" x14ac:dyDescent="0.25"/>
  <cols>
    <col min="1" max="3" width="12.7109375" customWidth="1"/>
    <col min="9" max="9" width="10.85546875" bestFit="1" customWidth="1"/>
  </cols>
  <sheetData>
    <row r="1" spans="1:10" x14ac:dyDescent="0.25">
      <c r="A1" s="26" t="s">
        <v>21</v>
      </c>
    </row>
    <row r="2" spans="1:10" x14ac:dyDescent="0.25">
      <c r="A2" s="26" t="s">
        <v>22</v>
      </c>
    </row>
    <row r="3" spans="1:10" x14ac:dyDescent="0.25">
      <c r="A3" s="26" t="s">
        <v>25</v>
      </c>
    </row>
    <row r="5" spans="1:10" x14ac:dyDescent="0.25">
      <c r="A5" s="7" t="s">
        <v>8</v>
      </c>
    </row>
    <row r="6" spans="1:10" ht="31.5" customHeight="1" x14ac:dyDescent="0.25">
      <c r="A6" s="44" t="s">
        <v>15</v>
      </c>
      <c r="B6" s="44"/>
      <c r="C6" s="44"/>
      <c r="D6" s="44"/>
    </row>
    <row r="7" spans="1:10" x14ac:dyDescent="0.25">
      <c r="B7" s="3"/>
    </row>
    <row r="8" spans="1:10" ht="30" x14ac:dyDescent="0.25">
      <c r="A8" s="11" t="s">
        <v>16</v>
      </c>
      <c r="B8" s="11" t="s">
        <v>13</v>
      </c>
      <c r="C8" s="11" t="s">
        <v>14</v>
      </c>
    </row>
    <row r="9" spans="1:10" x14ac:dyDescent="0.25">
      <c r="A9" s="12">
        <v>301336</v>
      </c>
      <c r="B9" s="13">
        <v>26</v>
      </c>
      <c r="C9" s="13"/>
    </row>
    <row r="10" spans="1:10" x14ac:dyDescent="0.25">
      <c r="A10" s="12">
        <v>301350</v>
      </c>
      <c r="B10" s="13">
        <v>28</v>
      </c>
      <c r="C10" s="13">
        <f>((B10+B9)/2)*(A10-A9)</f>
        <v>378</v>
      </c>
      <c r="I10">
        <f>(B10+B9)/2</f>
        <v>27</v>
      </c>
      <c r="J10">
        <v>1</v>
      </c>
    </row>
    <row r="11" spans="1:10" x14ac:dyDescent="0.25">
      <c r="A11" s="12">
        <v>301400</v>
      </c>
      <c r="B11" s="13">
        <v>30</v>
      </c>
      <c r="C11" s="13">
        <f t="shared" ref="C11:C21" si="0">((B11+B10)/2)*(A11-A10)</f>
        <v>1450</v>
      </c>
      <c r="I11">
        <f t="shared" ref="I11:I21" si="1">(B11+B10)/2</f>
        <v>29</v>
      </c>
      <c r="J11">
        <v>1</v>
      </c>
    </row>
    <row r="12" spans="1:10" x14ac:dyDescent="0.25">
      <c r="A12" s="12">
        <v>301450</v>
      </c>
      <c r="B12" s="13">
        <v>33</v>
      </c>
      <c r="C12" s="13">
        <f t="shared" si="0"/>
        <v>1575</v>
      </c>
      <c r="I12">
        <f t="shared" si="1"/>
        <v>31.5</v>
      </c>
      <c r="J12">
        <v>1</v>
      </c>
    </row>
    <row r="13" spans="1:10" x14ac:dyDescent="0.25">
      <c r="A13" s="12">
        <v>301500</v>
      </c>
      <c r="B13" s="13">
        <v>33</v>
      </c>
      <c r="C13" s="13">
        <f t="shared" si="0"/>
        <v>1650</v>
      </c>
      <c r="I13">
        <f t="shared" si="1"/>
        <v>33</v>
      </c>
      <c r="J13">
        <v>1</v>
      </c>
    </row>
    <row r="14" spans="1:10" x14ac:dyDescent="0.25">
      <c r="A14" s="12">
        <v>301550</v>
      </c>
      <c r="B14" s="13">
        <v>33</v>
      </c>
      <c r="C14" s="13">
        <f t="shared" si="0"/>
        <v>1650</v>
      </c>
      <c r="I14">
        <f t="shared" si="1"/>
        <v>33</v>
      </c>
      <c r="J14">
        <v>1</v>
      </c>
    </row>
    <row r="15" spans="1:10" x14ac:dyDescent="0.25">
      <c r="A15" s="12">
        <v>301570</v>
      </c>
      <c r="B15" s="13">
        <v>36</v>
      </c>
      <c r="C15" s="13">
        <f t="shared" si="0"/>
        <v>690</v>
      </c>
      <c r="I15">
        <f t="shared" si="1"/>
        <v>34.5</v>
      </c>
      <c r="J15">
        <v>1</v>
      </c>
    </row>
    <row r="16" spans="1:10" x14ac:dyDescent="0.25">
      <c r="A16" s="12">
        <v>301621</v>
      </c>
      <c r="B16" s="13">
        <v>37</v>
      </c>
      <c r="C16" s="13">
        <f t="shared" si="0"/>
        <v>1861.5</v>
      </c>
      <c r="I16">
        <f t="shared" si="1"/>
        <v>36.5</v>
      </c>
      <c r="J16">
        <v>1</v>
      </c>
    </row>
    <row r="17" spans="1:10" x14ac:dyDescent="0.25">
      <c r="A17" s="12">
        <v>301672</v>
      </c>
      <c r="B17" s="13">
        <v>38</v>
      </c>
      <c r="C17" s="13">
        <f t="shared" si="0"/>
        <v>1912.5</v>
      </c>
      <c r="I17">
        <f t="shared" si="1"/>
        <v>37.5</v>
      </c>
      <c r="J17">
        <v>1</v>
      </c>
    </row>
    <row r="18" spans="1:10" x14ac:dyDescent="0.25">
      <c r="A18" s="12">
        <v>301738</v>
      </c>
      <c r="B18" s="13">
        <v>36</v>
      </c>
      <c r="C18" s="13">
        <f t="shared" si="0"/>
        <v>2442</v>
      </c>
      <c r="I18">
        <f t="shared" si="1"/>
        <v>37</v>
      </c>
      <c r="J18">
        <v>1</v>
      </c>
    </row>
    <row r="19" spans="1:10" x14ac:dyDescent="0.25">
      <c r="A19" s="12">
        <v>301752</v>
      </c>
      <c r="B19" s="13">
        <v>36</v>
      </c>
      <c r="C19" s="13">
        <f t="shared" si="0"/>
        <v>504</v>
      </c>
      <c r="I19">
        <f t="shared" si="1"/>
        <v>36</v>
      </c>
      <c r="J19">
        <v>1</v>
      </c>
    </row>
    <row r="20" spans="1:10" x14ac:dyDescent="0.25">
      <c r="A20" s="12">
        <v>301772</v>
      </c>
      <c r="B20" s="13">
        <v>36</v>
      </c>
      <c r="C20" s="13">
        <f t="shared" si="0"/>
        <v>720</v>
      </c>
      <c r="I20">
        <f t="shared" si="1"/>
        <v>36</v>
      </c>
      <c r="J20">
        <v>1</v>
      </c>
    </row>
    <row r="21" spans="1:10" x14ac:dyDescent="0.25">
      <c r="A21" s="12">
        <v>301806</v>
      </c>
      <c r="B21" s="13">
        <v>34</v>
      </c>
      <c r="C21" s="13">
        <f t="shared" si="0"/>
        <v>1190</v>
      </c>
      <c r="I21" s="17">
        <f t="shared" si="1"/>
        <v>35</v>
      </c>
      <c r="J21" s="17">
        <v>1</v>
      </c>
    </row>
    <row r="22" spans="1:10" x14ac:dyDescent="0.25">
      <c r="B22" s="1" t="s">
        <v>9</v>
      </c>
      <c r="C22" s="4">
        <f>ROUNDUP(SUM(C10:C21),0)</f>
        <v>16023</v>
      </c>
      <c r="I22">
        <f>SUM(I10:I21)</f>
        <v>406</v>
      </c>
      <c r="J22">
        <f>SUM(J10:J21)</f>
        <v>12</v>
      </c>
    </row>
    <row r="23" spans="1:10" x14ac:dyDescent="0.25">
      <c r="B23" s="3"/>
      <c r="C23" s="4"/>
      <c r="I23" s="16">
        <f>I22/J22</f>
        <v>33.833333333333336</v>
      </c>
      <c r="J23" t="s">
        <v>17</v>
      </c>
    </row>
    <row r="24" spans="1:10" x14ac:dyDescent="0.25">
      <c r="B24" s="1" t="s">
        <v>10</v>
      </c>
      <c r="C24" s="8">
        <v>90</v>
      </c>
      <c r="D24" t="s">
        <v>11</v>
      </c>
      <c r="I24" s="14">
        <f>A21-A9</f>
        <v>470</v>
      </c>
      <c r="J24" t="s">
        <v>2</v>
      </c>
    </row>
    <row r="25" spans="1:10" ht="15.75" thickBot="1" x14ac:dyDescent="0.3">
      <c r="A25" s="1"/>
      <c r="B25" s="3"/>
      <c r="I25" s="18">
        <f>I23*I24</f>
        <v>15901.666666666668</v>
      </c>
      <c r="J25" t="s">
        <v>0</v>
      </c>
    </row>
    <row r="26" spans="1:10" ht="15.75" thickBot="1" x14ac:dyDescent="0.3">
      <c r="B26" s="9" t="s">
        <v>12</v>
      </c>
      <c r="C26" s="10">
        <f>ROUND(C22*C24,-3)</f>
        <v>1442000</v>
      </c>
      <c r="I26" s="15">
        <f>I25*C24</f>
        <v>1431150</v>
      </c>
    </row>
  </sheetData>
  <mergeCells count="1">
    <mergeCell ref="A6:D6"/>
  </mergeCells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UG storage</vt:lpstr>
      <vt:lpstr>Wall</vt:lpstr>
      <vt:lpstr>Wall!Print_Area</vt:lpstr>
      <vt:lpstr>'UG storage'!Print_Titles</vt:lpstr>
    </vt:vector>
  </TitlesOfParts>
  <Company>ms consultants,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Riffle, Sean</dc:creator>
  <cp:lastModifiedBy>Riffle, Sean</cp:lastModifiedBy>
  <cp:lastPrinted>2014-11-17T18:27:45Z</cp:lastPrinted>
  <dcterms:created xsi:type="dcterms:W3CDTF">2014-11-13T15:29:06Z</dcterms:created>
  <dcterms:modified xsi:type="dcterms:W3CDTF">2014-11-25T21:55:58Z</dcterms:modified>
</cp:coreProperties>
</file>